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9035" windowHeight="8190"/>
  </bookViews>
  <sheets>
    <sheet name=" 20% " sheetId="12" r:id="rId1"/>
  </sheets>
  <calcPr calcId="145621"/>
</workbook>
</file>

<file path=xl/calcChain.xml><?xml version="1.0" encoding="utf-8"?>
<calcChain xmlns="http://schemas.openxmlformats.org/spreadsheetml/2006/main">
  <c r="E13" i="12" l="1"/>
  <c r="E40" i="12"/>
  <c r="C16" i="12" l="1"/>
  <c r="E15" i="12"/>
  <c r="F15" i="12" s="1"/>
  <c r="E14" i="12"/>
  <c r="F14" i="12" s="1"/>
  <c r="F13" i="12"/>
  <c r="E12" i="12"/>
  <c r="F12" i="12" s="1"/>
  <c r="E11" i="12"/>
  <c r="F11" i="12" s="1"/>
  <c r="E10" i="12"/>
  <c r="F10" i="12" s="1"/>
  <c r="F9" i="12"/>
  <c r="C43" i="12"/>
  <c r="E42" i="12"/>
  <c r="F42" i="12" s="1"/>
  <c r="E41" i="12"/>
  <c r="F41" i="12" s="1"/>
  <c r="G41" i="12" s="1"/>
  <c r="I41" i="12" s="1"/>
  <c r="J41" i="12" s="1"/>
  <c r="K41" i="12" s="1"/>
  <c r="L41" i="12" s="1"/>
  <c r="M41" i="12" s="1"/>
  <c r="F40" i="12"/>
  <c r="C27" i="12"/>
  <c r="E26" i="12"/>
  <c r="F26" i="12" s="1"/>
  <c r="E25" i="12"/>
  <c r="F25" i="12" s="1"/>
  <c r="G25" i="12" s="1"/>
  <c r="E24" i="12"/>
  <c r="F24" i="12" s="1"/>
  <c r="F23" i="12"/>
  <c r="G23" i="12" s="1"/>
  <c r="G10" i="12" l="1"/>
  <c r="I10" i="12" s="1"/>
  <c r="J10" i="12" s="1"/>
  <c r="K10" i="12" s="1"/>
  <c r="L10" i="12" s="1"/>
  <c r="M10" i="12" s="1"/>
  <c r="G12" i="12"/>
  <c r="I12" i="12" s="1"/>
  <c r="J12" i="12" s="1"/>
  <c r="K12" i="12" s="1"/>
  <c r="L12" i="12" s="1"/>
  <c r="M12" i="12" s="1"/>
  <c r="G15" i="12"/>
  <c r="I15" i="12" s="1"/>
  <c r="J15" i="12" s="1"/>
  <c r="K15" i="12" s="1"/>
  <c r="L15" i="12" s="1"/>
  <c r="M15" i="12" s="1"/>
  <c r="G9" i="12"/>
  <c r="I9" i="12" s="1"/>
  <c r="G11" i="12"/>
  <c r="I11" i="12" s="1"/>
  <c r="J11" i="12" s="1"/>
  <c r="K11" i="12" s="1"/>
  <c r="L11" i="12" s="1"/>
  <c r="M11" i="12" s="1"/>
  <c r="G13" i="12"/>
  <c r="I13" i="12" s="1"/>
  <c r="J13" i="12" s="1"/>
  <c r="K13" i="12" s="1"/>
  <c r="L13" i="12" s="1"/>
  <c r="M13" i="12" s="1"/>
  <c r="G14" i="12"/>
  <c r="I14" i="12" s="1"/>
  <c r="J14" i="12" s="1"/>
  <c r="K14" i="12" s="1"/>
  <c r="L14" i="12" s="1"/>
  <c r="M14" i="12" s="1"/>
  <c r="G40" i="12"/>
  <c r="I40" i="12" s="1"/>
  <c r="J40" i="12" s="1"/>
  <c r="K40" i="12" s="1"/>
  <c r="L40" i="12" s="1"/>
  <c r="M40" i="12" s="1"/>
  <c r="G42" i="12"/>
  <c r="I42" i="12" s="1"/>
  <c r="J42" i="12" s="1"/>
  <c r="K42" i="12" s="1"/>
  <c r="L42" i="12" s="1"/>
  <c r="M42" i="12" s="1"/>
  <c r="H41" i="12"/>
  <c r="G26" i="12"/>
  <c r="I26" i="12" s="1"/>
  <c r="J26" i="12" s="1"/>
  <c r="K26" i="12" s="1"/>
  <c r="L26" i="12" s="1"/>
  <c r="M26" i="12" s="1"/>
  <c r="G24" i="12"/>
  <c r="I24" i="12" s="1"/>
  <c r="J24" i="12" s="1"/>
  <c r="K24" i="12" s="1"/>
  <c r="L24" i="12" s="1"/>
  <c r="M24" i="12" s="1"/>
  <c r="H25" i="12"/>
  <c r="I25" i="12"/>
  <c r="J25" i="12" s="1"/>
  <c r="K25" i="12" s="1"/>
  <c r="L25" i="12" s="1"/>
  <c r="M25" i="12" s="1"/>
  <c r="H23" i="12"/>
  <c r="I23" i="12"/>
  <c r="J23" i="12" s="1"/>
  <c r="K23" i="12" s="1"/>
  <c r="L23" i="12" s="1"/>
  <c r="M23" i="12" s="1"/>
  <c r="H11" i="12" l="1"/>
  <c r="I16" i="12"/>
  <c r="J9" i="12"/>
  <c r="H9" i="12"/>
  <c r="H13" i="12"/>
  <c r="H15" i="12"/>
  <c r="H12" i="12"/>
  <c r="H14" i="12"/>
  <c r="H10" i="12"/>
  <c r="H24" i="12"/>
  <c r="H26" i="12"/>
  <c r="H42" i="12"/>
  <c r="H40" i="12"/>
  <c r="I43" i="12"/>
  <c r="J16" i="12" l="1"/>
  <c r="K9" i="12"/>
  <c r="J43" i="12"/>
  <c r="I27" i="12"/>
  <c r="J27" i="12"/>
  <c r="K16" i="12" l="1"/>
  <c r="L9" i="12"/>
  <c r="K43" i="12"/>
  <c r="K27" i="12"/>
  <c r="L16" i="12" l="1"/>
  <c r="M9" i="12"/>
  <c r="M16" i="12" s="1"/>
  <c r="L43" i="12"/>
  <c r="M43" i="12"/>
  <c r="L27" i="12"/>
  <c r="M27" i="12"/>
  <c r="L17" i="12" l="1"/>
  <c r="M47" i="12" s="1"/>
  <c r="L44" i="12"/>
  <c r="M49" i="12" s="1"/>
  <c r="L49" i="12" s="1"/>
  <c r="L28" i="12"/>
  <c r="M48" i="12" s="1"/>
  <c r="L48" i="12" s="1"/>
  <c r="L47" i="12" l="1"/>
  <c r="M50" i="12"/>
  <c r="L50" i="12" s="1"/>
</calcChain>
</file>

<file path=xl/sharedStrings.xml><?xml version="1.0" encoding="utf-8"?>
<sst xmlns="http://schemas.openxmlformats.org/spreadsheetml/2006/main" count="91" uniqueCount="42">
  <si>
    <t>ЗВАЊЕ</t>
  </si>
  <si>
    <t>5(3*4)</t>
  </si>
  <si>
    <t>6 (5*20%)</t>
  </si>
  <si>
    <t>7 (2*6)</t>
  </si>
  <si>
    <t>8 (7*12 месеци)</t>
  </si>
  <si>
    <t>9 (8*7% додатак)</t>
  </si>
  <si>
    <t>Укупно:</t>
  </si>
  <si>
    <t>6а (5+6)</t>
  </si>
  <si>
    <t>Број запосл.</t>
  </si>
  <si>
    <t xml:space="preserve">Основица за обрачун </t>
  </si>
  <si>
    <t>10 (9/0,701)</t>
  </si>
  <si>
    <t>11 (10*0,179)</t>
  </si>
  <si>
    <t xml:space="preserve">Важећа месечна основна  нето плата  по запосленом </t>
  </si>
  <si>
    <t>УКУПНО:</t>
  </si>
  <si>
    <t>Месечна основна  нето плата  по запосленом са увећањем од 20%</t>
  </si>
  <si>
    <t>Износ увећања месечне основне нето плате  по запосленом</t>
  </si>
  <si>
    <t>царински прегледач</t>
  </si>
  <si>
    <t>млађи царински прегледач</t>
  </si>
  <si>
    <t>царински надзорник</t>
  </si>
  <si>
    <t>млађи царински надзорник</t>
  </si>
  <si>
    <t>виши царински инспектор</t>
  </si>
  <si>
    <t>самостални царински инспектор</t>
  </si>
  <si>
    <t>царински инспектор</t>
  </si>
  <si>
    <t>млађи царински инспектор</t>
  </si>
  <si>
    <t xml:space="preserve">Социјални доприноси на терет послодавца </t>
  </si>
  <si>
    <t>Плате, додаци и накнаде запослених</t>
  </si>
  <si>
    <r>
      <t xml:space="preserve">Износ додатних средстава на </t>
    </r>
    <r>
      <rPr>
        <b/>
        <u/>
        <sz val="10"/>
        <color theme="1"/>
        <rFont val="Times New Roman"/>
        <family val="1"/>
      </rPr>
      <t>месечном нивоу</t>
    </r>
    <r>
      <rPr>
        <b/>
        <sz val="10"/>
        <color theme="1"/>
        <rFont val="Times New Roman"/>
        <family val="1"/>
      </rPr>
      <t xml:space="preserve">  за обрачун увећаног коефицијента за број запослених у одређеном звању</t>
    </r>
  </si>
  <si>
    <r>
      <t xml:space="preserve">Износ додатних средстава на </t>
    </r>
    <r>
      <rPr>
        <b/>
        <u/>
        <sz val="10"/>
        <color theme="1"/>
        <rFont val="Times New Roman"/>
        <family val="1"/>
      </rPr>
      <t>годишњем нивоу</t>
    </r>
    <r>
      <rPr>
        <b/>
        <sz val="10"/>
        <color theme="1"/>
        <rFont val="Times New Roman"/>
        <family val="1"/>
      </rPr>
      <t xml:space="preserve"> за обрачун увећаног коефицијента за број запослених у одређеном звању</t>
    </r>
  </si>
  <si>
    <t>1. Царински службеници који носе оружје</t>
  </si>
  <si>
    <t>2. Царински службеници који раде на пословима прегледа и надзора робе на ГП и на пословима контроле примене прописа</t>
  </si>
  <si>
    <t xml:space="preserve">3. Царински службеници који раде на пословима прегледа и надзора робе у робним испоставама </t>
  </si>
  <si>
    <t>на месечном нивоу</t>
  </si>
  <si>
    <t>на годишњем нивоу</t>
  </si>
  <si>
    <r>
      <t xml:space="preserve">1. Додатна средства потребна за увећање коефицијента од 20% за царинске службенике који носе оружје - </t>
    </r>
    <r>
      <rPr>
        <b/>
        <sz val="10"/>
        <color theme="1"/>
        <rFont val="Times New Roman"/>
        <family val="1"/>
      </rPr>
      <t xml:space="preserve">БИЋЕ ОБЕЗБЕЂЕНА У БУЏЕТУ </t>
    </r>
  </si>
  <si>
    <r>
      <t xml:space="preserve">2. Додатна средства потребна за увећање коефицијента до 20% за царинске службенике који раде на пословима прегледа и надзора робе на ГП и на пословима контроле примене прописа -  </t>
    </r>
    <r>
      <rPr>
        <b/>
        <sz val="10"/>
        <color theme="1"/>
        <rFont val="Times New Roman"/>
        <family val="1"/>
      </rPr>
      <t>ДОБИЈЕНА САГЛАСНОСТ</t>
    </r>
  </si>
  <si>
    <r>
      <t>3. Додатна средства потребна за увећање коефицијента до 20% за царинске службенике који раде који раде на пословима прегледа и надзора робе у робним испоставама  -</t>
    </r>
    <r>
      <rPr>
        <b/>
        <sz val="10"/>
        <color theme="1"/>
        <rFont val="Times New Roman"/>
        <family val="1"/>
      </rPr>
      <t xml:space="preserve">ТРАЖИ СЕ САГЛАСНОСТ </t>
    </r>
  </si>
  <si>
    <t>Процена потребних средстава за исплату предложеног увећања коефицијената  царинских службеника
(увећање коефицијента за 20%)</t>
  </si>
  <si>
    <t>Коефицијент*</t>
  </si>
  <si>
    <t>*Под претпоставком да су сви царински службеници распоређени у први платни разред</t>
  </si>
  <si>
    <r>
      <t xml:space="preserve">Износ додатних средстава на годишњем нивоу за обрачун увећаног коефицијента са </t>
    </r>
    <r>
      <rPr>
        <b/>
        <u/>
        <sz val="10"/>
        <color theme="1"/>
        <rFont val="Times New Roman"/>
        <family val="1"/>
      </rPr>
      <t>додатком од 7% **</t>
    </r>
  </si>
  <si>
    <r>
      <t xml:space="preserve">** </t>
    </r>
    <r>
      <rPr>
        <b/>
        <sz val="10"/>
        <color theme="1"/>
        <rFont val="Times New Roman"/>
        <family val="1"/>
      </rPr>
      <t>Додатак од 7%</t>
    </r>
    <r>
      <rPr>
        <sz val="10"/>
        <color theme="1"/>
        <rFont val="Times New Roman"/>
        <family val="1"/>
      </rPr>
      <t xml:space="preserve"> садржи додатак за минули рад, рад ноћу, рад на дан државног и верског празника</t>
    </r>
  </si>
  <si>
    <r>
      <t xml:space="preserve">Износ додатних средстава на годишњем нивоу за обрачун увећаног коефицијента са </t>
    </r>
    <r>
      <rPr>
        <b/>
        <u/>
        <sz val="10"/>
        <color theme="1"/>
        <rFont val="Times New Roman"/>
        <family val="1"/>
      </rPr>
      <t>додатком од 7%**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</si>
</sst>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8"/>
      <color theme="1"/>
      <name val="Times New Roman"/>
      <family val="1"/>
    </font>
    <font>
      <b/>
      <sz val="8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rgb="FFFF0000"/>
      <name val="Times New Roman"/>
      <family val="1"/>
    </font>
    <font>
      <b/>
      <sz val="10"/>
      <color theme="1"/>
      <name val="Times New Roman"/>
      <family val="1"/>
    </font>
    <font>
      <b/>
      <sz val="10"/>
      <name val="Times New Roman"/>
      <family val="1"/>
    </font>
    <font>
      <b/>
      <u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" fontId="5" fillId="0" borderId="1" xfId="0" applyNumberFormat="1" applyFont="1" applyBorder="1"/>
    <xf numFmtId="2" fontId="6" fillId="0" borderId="9" xfId="0" applyNumberFormat="1" applyFont="1" applyBorder="1"/>
    <xf numFmtId="4" fontId="7" fillId="0" borderId="1" xfId="0" applyNumberFormat="1" applyFont="1" applyBorder="1"/>
    <xf numFmtId="4" fontId="5" fillId="0" borderId="10" xfId="0" applyNumberFormat="1" applyFont="1" applyBorder="1"/>
    <xf numFmtId="4" fontId="5" fillId="0" borderId="4" xfId="0" applyNumberFormat="1" applyFont="1" applyBorder="1"/>
    <xf numFmtId="4" fontId="5" fillId="0" borderId="0" xfId="0" applyNumberFormat="1" applyFont="1"/>
    <xf numFmtId="4" fontId="5" fillId="0" borderId="5" xfId="0" applyNumberFormat="1" applyFont="1" applyBorder="1"/>
    <xf numFmtId="4" fontId="5" fillId="0" borderId="5" xfId="0" applyNumberFormat="1" applyFont="1" applyFill="1" applyBorder="1"/>
    <xf numFmtId="0" fontId="5" fillId="0" borderId="6" xfId="0" applyFont="1" applyBorder="1"/>
    <xf numFmtId="0" fontId="5" fillId="0" borderId="0" xfId="0" applyFont="1"/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/>
    <xf numFmtId="0" fontId="5" fillId="0" borderId="1" xfId="0" applyFont="1" applyBorder="1"/>
    <xf numFmtId="0" fontId="7" fillId="0" borderId="4" xfId="0" applyFont="1" applyBorder="1" applyAlignment="1">
      <alignment horizontal="right"/>
    </xf>
    <xf numFmtId="0" fontId="8" fillId="0" borderId="1" xfId="0" applyFont="1" applyBorder="1" applyAlignment="1">
      <alignment horizontal="right"/>
    </xf>
    <xf numFmtId="0" fontId="5" fillId="0" borderId="10" xfId="0" applyFont="1" applyBorder="1"/>
    <xf numFmtId="4" fontId="5" fillId="0" borderId="0" xfId="0" applyNumberFormat="1" applyFont="1" applyBorder="1"/>
    <xf numFmtId="4" fontId="5" fillId="0" borderId="0" xfId="0" applyNumberFormat="1" applyFont="1" applyFill="1" applyBorder="1"/>
    <xf numFmtId="0" fontId="5" fillId="0" borderId="0" xfId="0" applyFont="1" applyBorder="1"/>
    <xf numFmtId="4" fontId="7" fillId="0" borderId="0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" fontId="5" fillId="0" borderId="1" xfId="0" applyNumberFormat="1" applyFont="1" applyFill="1" applyBorder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1" fillId="0" borderId="0" xfId="0" applyFont="1" applyFill="1"/>
    <xf numFmtId="4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4" fontId="7" fillId="0" borderId="1" xfId="0" applyNumberFormat="1" applyFont="1" applyFill="1" applyBorder="1"/>
    <xf numFmtId="4" fontId="7" fillId="0" borderId="1" xfId="0" applyNumberFormat="1" applyFont="1" applyFill="1" applyBorder="1" applyAlignment="1"/>
    <xf numFmtId="4" fontId="3" fillId="0" borderId="0" xfId="0" applyNumberFormat="1" applyFont="1" applyAlignment="1">
      <alignment horizontal="center" vertical="center"/>
    </xf>
    <xf numFmtId="4" fontId="7" fillId="0" borderId="10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" fontId="7" fillId="0" borderId="7" xfId="0" applyNumberFormat="1" applyFont="1" applyBorder="1" applyAlignment="1">
      <alignment horizontal="center"/>
    </xf>
    <xf numFmtId="4" fontId="7" fillId="0" borderId="8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9" xfId="0" applyFont="1" applyFill="1" applyBorder="1" applyAlignment="1">
      <alignment horizontal="left" wrapText="1"/>
    </xf>
    <xf numFmtId="0" fontId="5" fillId="0" borderId="10" xfId="0" applyFont="1" applyFill="1" applyBorder="1" applyAlignment="1">
      <alignment horizontal="left" wrapText="1"/>
    </xf>
    <xf numFmtId="0" fontId="5" fillId="0" borderId="4" xfId="0" applyFont="1" applyFill="1" applyBorder="1" applyAlignment="1">
      <alignment horizontal="left" wrapText="1"/>
    </xf>
    <xf numFmtId="0" fontId="7" fillId="0" borderId="9" xfId="0" applyFont="1" applyFill="1" applyBorder="1" applyAlignment="1">
      <alignment horizontal="right"/>
    </xf>
    <xf numFmtId="0" fontId="7" fillId="0" borderId="10" xfId="0" applyFont="1" applyFill="1" applyBorder="1" applyAlignment="1">
      <alignment horizontal="right"/>
    </xf>
    <xf numFmtId="0" fontId="7" fillId="0" borderId="4" xfId="0" applyFont="1" applyFill="1" applyBorder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3"/>
  <sheetViews>
    <sheetView tabSelected="1" view="pageBreakPreview" topLeftCell="A7" zoomScale="60" zoomScaleNormal="100" workbookViewId="0">
      <selection activeCell="E46" sqref="E46"/>
    </sheetView>
  </sheetViews>
  <sheetFormatPr defaultRowHeight="12.75" x14ac:dyDescent="0.2"/>
  <cols>
    <col min="1" max="1" width="0.85546875" style="16" customWidth="1"/>
    <col min="2" max="2" width="22.5703125" style="16" customWidth="1"/>
    <col min="3" max="3" width="6.140625" style="16" customWidth="1"/>
    <col min="4" max="4" width="8.7109375" style="16" customWidth="1"/>
    <col min="5" max="5" width="7" style="16" customWidth="1"/>
    <col min="6" max="7" width="10.85546875" style="16" customWidth="1"/>
    <col min="8" max="8" width="12.28515625" style="16" customWidth="1"/>
    <col min="9" max="9" width="15.42578125" style="16" customWidth="1"/>
    <col min="10" max="10" width="15.85546875" style="16" customWidth="1"/>
    <col min="11" max="11" width="17.42578125" style="16" customWidth="1"/>
    <col min="12" max="12" width="13.140625" style="16" customWidth="1"/>
    <col min="13" max="13" width="14" style="16" customWidth="1"/>
    <col min="14" max="14" width="9.140625" style="16" customWidth="1"/>
    <col min="15" max="15" width="13.85546875" style="16" bestFit="1" customWidth="1"/>
    <col min="16" max="16" width="12.42578125" style="16" customWidth="1"/>
    <col min="17" max="17" width="11.140625" style="16" customWidth="1"/>
    <col min="18" max="16384" width="9.140625" style="16"/>
  </cols>
  <sheetData>
    <row r="1" spans="2:13" ht="11.25" customHeight="1" x14ac:dyDescent="0.2">
      <c r="J1" s="12"/>
    </row>
    <row r="2" spans="2:13" ht="27.75" customHeight="1" x14ac:dyDescent="0.25">
      <c r="B2" s="58" t="s">
        <v>36</v>
      </c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</row>
    <row r="3" spans="2:13" ht="10.5" customHeight="1" x14ac:dyDescent="0.25">
      <c r="B3" s="31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</row>
    <row r="4" spans="2:13" ht="16.5" customHeight="1" x14ac:dyDescent="0.25">
      <c r="B4" s="57" t="s">
        <v>28</v>
      </c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</row>
    <row r="5" spans="2:13" ht="10.5" customHeight="1" x14ac:dyDescent="0.25">
      <c r="B5" s="31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</row>
    <row r="6" spans="2:13" ht="31.5" customHeight="1" x14ac:dyDescent="0.2">
      <c r="B6" s="53" t="s">
        <v>0</v>
      </c>
      <c r="C6" s="55" t="s">
        <v>8</v>
      </c>
      <c r="D6" s="41" t="s">
        <v>9</v>
      </c>
      <c r="E6" s="41" t="s">
        <v>37</v>
      </c>
      <c r="F6" s="41" t="s">
        <v>12</v>
      </c>
      <c r="G6" s="45" t="s">
        <v>15</v>
      </c>
      <c r="H6" s="41" t="s">
        <v>14</v>
      </c>
      <c r="I6" s="41" t="s">
        <v>26</v>
      </c>
      <c r="J6" s="41" t="s">
        <v>27</v>
      </c>
      <c r="K6" s="41" t="s">
        <v>39</v>
      </c>
      <c r="L6" s="33">
        <v>411000</v>
      </c>
      <c r="M6" s="33">
        <v>412000</v>
      </c>
    </row>
    <row r="7" spans="2:13" s="19" customFormat="1" ht="75.75" customHeight="1" x14ac:dyDescent="0.2">
      <c r="B7" s="54"/>
      <c r="C7" s="56"/>
      <c r="D7" s="42"/>
      <c r="E7" s="42"/>
      <c r="F7" s="42"/>
      <c r="G7" s="46"/>
      <c r="H7" s="42"/>
      <c r="I7" s="42"/>
      <c r="J7" s="42"/>
      <c r="K7" s="42"/>
      <c r="L7" s="18" t="s">
        <v>25</v>
      </c>
      <c r="M7" s="18" t="s">
        <v>24</v>
      </c>
    </row>
    <row r="8" spans="2:13" s="6" customFormat="1" ht="12.75" customHeight="1" x14ac:dyDescent="0.25">
      <c r="B8" s="3">
        <v>1</v>
      </c>
      <c r="C8" s="4">
        <v>2</v>
      </c>
      <c r="D8" s="4">
        <v>3</v>
      </c>
      <c r="E8" s="4">
        <v>4</v>
      </c>
      <c r="F8" s="4" t="s">
        <v>1</v>
      </c>
      <c r="G8" s="4" t="s">
        <v>2</v>
      </c>
      <c r="H8" s="5" t="s">
        <v>7</v>
      </c>
      <c r="I8" s="4" t="s">
        <v>3</v>
      </c>
      <c r="J8" s="4" t="s">
        <v>4</v>
      </c>
      <c r="K8" s="4" t="s">
        <v>5</v>
      </c>
      <c r="L8" s="4" t="s">
        <v>10</v>
      </c>
      <c r="M8" s="4" t="s">
        <v>11</v>
      </c>
    </row>
    <row r="9" spans="2:13" x14ac:dyDescent="0.2">
      <c r="B9" s="20" t="s">
        <v>20</v>
      </c>
      <c r="C9" s="21">
        <v>6</v>
      </c>
      <c r="D9" s="7">
        <v>18811.419999999998</v>
      </c>
      <c r="E9" s="7">
        <v>3.96</v>
      </c>
      <c r="F9" s="7">
        <f>+D9*E9</f>
        <v>74493.223199999993</v>
      </c>
      <c r="G9" s="7">
        <f>+F9*0.2</f>
        <v>14898.644639999999</v>
      </c>
      <c r="H9" s="9">
        <f>+F9+G9</f>
        <v>89391.867839999992</v>
      </c>
      <c r="I9" s="7">
        <f>+G9*C9</f>
        <v>89391.867839999992</v>
      </c>
      <c r="J9" s="7">
        <f>+I9*12</f>
        <v>1072702.41408</v>
      </c>
      <c r="K9" s="7">
        <f>+J9*1.07</f>
        <v>1147791.5830656001</v>
      </c>
      <c r="L9" s="7">
        <f>+K9/0.701</f>
        <v>1637363.1712776038</v>
      </c>
      <c r="M9" s="7">
        <f>+L9*0.179</f>
        <v>293088.00765869109</v>
      </c>
    </row>
    <row r="10" spans="2:13" x14ac:dyDescent="0.2">
      <c r="B10" s="20" t="s">
        <v>21</v>
      </c>
      <c r="C10" s="21">
        <v>25</v>
      </c>
      <c r="D10" s="7">
        <v>18811.419999999998</v>
      </c>
      <c r="E10" s="7">
        <f>3.16</f>
        <v>3.16</v>
      </c>
      <c r="F10" s="7">
        <f t="shared" ref="F10:F15" si="0">+D10*E10</f>
        <v>59444.087199999994</v>
      </c>
      <c r="G10" s="7">
        <f t="shared" ref="G10:G15" si="1">+F10*0.2</f>
        <v>11888.817439999999</v>
      </c>
      <c r="H10" s="9">
        <f t="shared" ref="H10:H15" si="2">+F10+G10</f>
        <v>71332.904639999993</v>
      </c>
      <c r="I10" s="7">
        <f t="shared" ref="I10:I15" si="3">+G10*C10</f>
        <v>297220.43599999999</v>
      </c>
      <c r="J10" s="7">
        <f t="shared" ref="J10:J15" si="4">+I10*12</f>
        <v>3566645.2319999998</v>
      </c>
      <c r="K10" s="7">
        <f t="shared" ref="K10:K15" si="5">+J10*1.07</f>
        <v>3816310.39824</v>
      </c>
      <c r="L10" s="7">
        <f t="shared" ref="L10:L15" si="6">+K10/0.701</f>
        <v>5444094.7193152644</v>
      </c>
      <c r="M10" s="7">
        <f t="shared" ref="M10:M15" si="7">+L10*0.179</f>
        <v>974492.95475743234</v>
      </c>
    </row>
    <row r="11" spans="2:13" x14ac:dyDescent="0.2">
      <c r="B11" s="20" t="s">
        <v>22</v>
      </c>
      <c r="C11" s="21">
        <v>9</v>
      </c>
      <c r="D11" s="7">
        <v>18811.419999999998</v>
      </c>
      <c r="E11" s="7">
        <f>2.53</f>
        <v>2.5299999999999998</v>
      </c>
      <c r="F11" s="7">
        <f t="shared" si="0"/>
        <v>47592.892599999992</v>
      </c>
      <c r="G11" s="7">
        <f t="shared" si="1"/>
        <v>9518.5785199999991</v>
      </c>
      <c r="H11" s="9">
        <f t="shared" si="2"/>
        <v>57111.471119999987</v>
      </c>
      <c r="I11" s="7">
        <f t="shared" si="3"/>
        <v>85667.206679999988</v>
      </c>
      <c r="J11" s="7">
        <f t="shared" si="4"/>
        <v>1028006.4801599998</v>
      </c>
      <c r="K11" s="7">
        <f t="shared" si="5"/>
        <v>1099966.9337711998</v>
      </c>
      <c r="L11" s="7">
        <f t="shared" si="6"/>
        <v>1569139.7058077031</v>
      </c>
      <c r="M11" s="7">
        <f t="shared" si="7"/>
        <v>280876.00733957882</v>
      </c>
    </row>
    <row r="12" spans="2:13" x14ac:dyDescent="0.2">
      <c r="B12" s="20" t="s">
        <v>23</v>
      </c>
      <c r="C12" s="21">
        <v>20</v>
      </c>
      <c r="D12" s="7">
        <v>18811.419999999998</v>
      </c>
      <c r="E12" s="7">
        <f>2.03</f>
        <v>2.0299999999999998</v>
      </c>
      <c r="F12" s="7">
        <f t="shared" si="0"/>
        <v>38187.182599999993</v>
      </c>
      <c r="G12" s="7">
        <f t="shared" si="1"/>
        <v>7637.4365199999993</v>
      </c>
      <c r="H12" s="9">
        <f t="shared" si="2"/>
        <v>45824.619119999988</v>
      </c>
      <c r="I12" s="7">
        <f t="shared" si="3"/>
        <v>152748.7304</v>
      </c>
      <c r="J12" s="7">
        <f t="shared" si="4"/>
        <v>1832984.7648</v>
      </c>
      <c r="K12" s="7">
        <f t="shared" si="5"/>
        <v>1961293.6983360001</v>
      </c>
      <c r="L12" s="7">
        <f t="shared" si="6"/>
        <v>2797851.2101797434</v>
      </c>
      <c r="M12" s="7">
        <f t="shared" si="7"/>
        <v>500815.36662217404</v>
      </c>
    </row>
    <row r="13" spans="2:13" x14ac:dyDescent="0.2">
      <c r="B13" s="20" t="s">
        <v>16</v>
      </c>
      <c r="C13" s="21">
        <v>20</v>
      </c>
      <c r="D13" s="7">
        <v>18811.419999999998</v>
      </c>
      <c r="E13" s="7">
        <f>1.99</f>
        <v>1.99</v>
      </c>
      <c r="F13" s="7">
        <f t="shared" si="0"/>
        <v>37434.725799999993</v>
      </c>
      <c r="G13" s="7">
        <f t="shared" si="1"/>
        <v>7486.9451599999993</v>
      </c>
      <c r="H13" s="9">
        <f t="shared" si="2"/>
        <v>44921.670959999989</v>
      </c>
      <c r="I13" s="7">
        <f t="shared" si="3"/>
        <v>149738.9032</v>
      </c>
      <c r="J13" s="7">
        <f t="shared" si="4"/>
        <v>1796866.8384</v>
      </c>
      <c r="K13" s="7">
        <f t="shared" si="5"/>
        <v>1922647.5170880002</v>
      </c>
      <c r="L13" s="7">
        <f t="shared" si="6"/>
        <v>2742721.1370727536</v>
      </c>
      <c r="M13" s="7">
        <f t="shared" si="7"/>
        <v>490947.08353602287</v>
      </c>
    </row>
    <row r="14" spans="2:13" x14ac:dyDescent="0.2">
      <c r="B14" s="20" t="s">
        <v>18</v>
      </c>
      <c r="C14" s="21">
        <v>51</v>
      </c>
      <c r="D14" s="7">
        <v>18811.419999999998</v>
      </c>
      <c r="E14" s="7">
        <f>1.55</f>
        <v>1.55</v>
      </c>
      <c r="F14" s="7">
        <f t="shared" si="0"/>
        <v>29157.700999999997</v>
      </c>
      <c r="G14" s="7">
        <f t="shared" si="1"/>
        <v>5831.5401999999995</v>
      </c>
      <c r="H14" s="9">
        <f t="shared" si="2"/>
        <v>34989.241199999997</v>
      </c>
      <c r="I14" s="7">
        <f t="shared" si="3"/>
        <v>297408.5502</v>
      </c>
      <c r="J14" s="7">
        <f t="shared" si="4"/>
        <v>3568902.6024000002</v>
      </c>
      <c r="K14" s="7">
        <f t="shared" si="5"/>
        <v>3818725.7845680006</v>
      </c>
      <c r="L14" s="7">
        <f t="shared" si="6"/>
        <v>5447540.3488844521</v>
      </c>
      <c r="M14" s="7">
        <f t="shared" si="7"/>
        <v>975109.72245031688</v>
      </c>
    </row>
    <row r="15" spans="2:13" x14ac:dyDescent="0.2">
      <c r="B15" s="20" t="s">
        <v>19</v>
      </c>
      <c r="C15" s="21">
        <v>4</v>
      </c>
      <c r="D15" s="7">
        <v>18811.419999999998</v>
      </c>
      <c r="E15" s="7">
        <f>1.4</f>
        <v>1.4</v>
      </c>
      <c r="F15" s="7">
        <f t="shared" si="0"/>
        <v>26335.987999999998</v>
      </c>
      <c r="G15" s="7">
        <f t="shared" si="1"/>
        <v>5267.1975999999995</v>
      </c>
      <c r="H15" s="9">
        <f t="shared" si="2"/>
        <v>31603.185599999997</v>
      </c>
      <c r="I15" s="7">
        <f t="shared" si="3"/>
        <v>21068.790399999998</v>
      </c>
      <c r="J15" s="7">
        <f t="shared" si="4"/>
        <v>252825.48479999998</v>
      </c>
      <c r="K15" s="7">
        <f t="shared" si="5"/>
        <v>270523.268736</v>
      </c>
      <c r="L15" s="7">
        <f t="shared" si="6"/>
        <v>385910.51174893015</v>
      </c>
      <c r="M15" s="7">
        <f t="shared" si="7"/>
        <v>69077.981603058492</v>
      </c>
    </row>
    <row r="16" spans="2:13" x14ac:dyDescent="0.2">
      <c r="B16" s="17" t="s">
        <v>13</v>
      </c>
      <c r="C16" s="22">
        <f>SUM(C9:C15)</f>
        <v>135</v>
      </c>
      <c r="D16" s="8"/>
      <c r="E16" s="23"/>
      <c r="F16" s="10"/>
      <c r="G16" s="10"/>
      <c r="H16" s="11"/>
      <c r="I16" s="9">
        <f>SUM(I9:I15)</f>
        <v>1093244.4847200001</v>
      </c>
      <c r="J16" s="9">
        <f>SUM(J9:J15)</f>
        <v>13118933.816640001</v>
      </c>
      <c r="K16" s="9">
        <f>SUM(K9:K15)</f>
        <v>14037259.183804799</v>
      </c>
      <c r="L16" s="9">
        <f>SUM(L9:L15)</f>
        <v>20024620.80428645</v>
      </c>
      <c r="M16" s="9">
        <f>SUM(M9:M15)</f>
        <v>3584407.1239672746</v>
      </c>
    </row>
    <row r="17" spans="2:17" ht="15" customHeight="1" x14ac:dyDescent="0.2">
      <c r="F17" s="12"/>
      <c r="G17" s="12"/>
      <c r="H17" s="12"/>
      <c r="I17" s="13"/>
      <c r="J17" s="14"/>
      <c r="K17" s="15"/>
      <c r="L17" s="43">
        <f>+L16+M16</f>
        <v>23609027.928253725</v>
      </c>
      <c r="M17" s="44"/>
    </row>
    <row r="18" spans="2:17" ht="22.5" customHeight="1" x14ac:dyDescent="0.25">
      <c r="B18" s="57" t="s">
        <v>29</v>
      </c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</row>
    <row r="19" spans="2:17" ht="9.75" customHeight="1" x14ac:dyDescent="0.2"/>
    <row r="20" spans="2:17" ht="31.5" customHeight="1" x14ac:dyDescent="0.2">
      <c r="B20" s="53" t="s">
        <v>0</v>
      </c>
      <c r="C20" s="55" t="s">
        <v>8</v>
      </c>
      <c r="D20" s="41" t="s">
        <v>9</v>
      </c>
      <c r="E20" s="41" t="s">
        <v>37</v>
      </c>
      <c r="F20" s="41" t="s">
        <v>12</v>
      </c>
      <c r="G20" s="45" t="s">
        <v>15</v>
      </c>
      <c r="H20" s="41" t="s">
        <v>14</v>
      </c>
      <c r="I20" s="41" t="s">
        <v>26</v>
      </c>
      <c r="J20" s="41" t="s">
        <v>27</v>
      </c>
      <c r="K20" s="41" t="s">
        <v>41</v>
      </c>
      <c r="L20" s="33">
        <v>411000</v>
      </c>
      <c r="M20" s="33">
        <v>412000</v>
      </c>
    </row>
    <row r="21" spans="2:17" s="19" customFormat="1" ht="73.5" customHeight="1" x14ac:dyDescent="0.2">
      <c r="B21" s="54"/>
      <c r="C21" s="56"/>
      <c r="D21" s="42"/>
      <c r="E21" s="42"/>
      <c r="F21" s="42"/>
      <c r="G21" s="46"/>
      <c r="H21" s="42"/>
      <c r="I21" s="42"/>
      <c r="J21" s="42"/>
      <c r="K21" s="42"/>
      <c r="L21" s="18" t="s">
        <v>25</v>
      </c>
      <c r="M21" s="18" t="s">
        <v>24</v>
      </c>
    </row>
    <row r="22" spans="2:17" s="6" customFormat="1" ht="12.75" customHeight="1" x14ac:dyDescent="0.25">
      <c r="B22" s="3">
        <v>1</v>
      </c>
      <c r="C22" s="4">
        <v>2</v>
      </c>
      <c r="D22" s="4">
        <v>3</v>
      </c>
      <c r="E22" s="4">
        <v>4</v>
      </c>
      <c r="F22" s="4" t="s">
        <v>1</v>
      </c>
      <c r="G22" s="4" t="s">
        <v>2</v>
      </c>
      <c r="H22" s="5" t="s">
        <v>7</v>
      </c>
      <c r="I22" s="4" t="s">
        <v>3</v>
      </c>
      <c r="J22" s="4" t="s">
        <v>4</v>
      </c>
      <c r="K22" s="4" t="s">
        <v>5</v>
      </c>
      <c r="L22" s="4" t="s">
        <v>10</v>
      </c>
      <c r="M22" s="4" t="s">
        <v>11</v>
      </c>
      <c r="O22" s="39"/>
      <c r="P22" s="39"/>
      <c r="Q22" s="39"/>
    </row>
    <row r="23" spans="2:17" x14ac:dyDescent="0.2">
      <c r="B23" s="20" t="s">
        <v>16</v>
      </c>
      <c r="C23" s="21">
        <v>235</v>
      </c>
      <c r="D23" s="7">
        <v>18811.419999999998</v>
      </c>
      <c r="E23" s="7">
        <v>1.99</v>
      </c>
      <c r="F23" s="7">
        <f t="shared" ref="F23:F26" si="8">+D23*E23</f>
        <v>37434.725799999993</v>
      </c>
      <c r="G23" s="7">
        <f t="shared" ref="G23:G26" si="9">+F23*0.2</f>
        <v>7486.9451599999993</v>
      </c>
      <c r="H23" s="9">
        <f t="shared" ref="H23:H26" si="10">+F23+G23</f>
        <v>44921.670959999989</v>
      </c>
      <c r="I23" s="7">
        <f t="shared" ref="I23:I26" si="11">+G23*C23</f>
        <v>1759432.1125999999</v>
      </c>
      <c r="J23" s="7">
        <f t="shared" ref="J23:J26" si="12">+I23*12</f>
        <v>21113185.351199999</v>
      </c>
      <c r="K23" s="7">
        <f t="shared" ref="K23:K26" si="13">+J23*1.07</f>
        <v>22591108.325784001</v>
      </c>
      <c r="L23" s="7">
        <f t="shared" ref="L23:L26" si="14">+K23/0.701</f>
        <v>32226973.360604856</v>
      </c>
      <c r="M23" s="7">
        <f t="shared" ref="M23:M26" si="15">+L23*0.179</f>
        <v>5768628.2315482693</v>
      </c>
      <c r="O23" s="12"/>
      <c r="P23" s="12"/>
      <c r="Q23" s="12"/>
    </row>
    <row r="24" spans="2:17" x14ac:dyDescent="0.2">
      <c r="B24" s="20" t="s">
        <v>17</v>
      </c>
      <c r="C24" s="21">
        <v>30</v>
      </c>
      <c r="D24" s="7">
        <v>18811.419999999998</v>
      </c>
      <c r="E24" s="7">
        <f>1.65</f>
        <v>1.65</v>
      </c>
      <c r="F24" s="7">
        <f t="shared" si="8"/>
        <v>31038.842999999997</v>
      </c>
      <c r="G24" s="7">
        <f t="shared" si="9"/>
        <v>6207.7685999999994</v>
      </c>
      <c r="H24" s="9">
        <f t="shared" si="10"/>
        <v>37246.611599999997</v>
      </c>
      <c r="I24" s="7">
        <f t="shared" si="11"/>
        <v>186233.05799999999</v>
      </c>
      <c r="J24" s="7">
        <f t="shared" si="12"/>
        <v>2234796.696</v>
      </c>
      <c r="K24" s="7">
        <f t="shared" si="13"/>
        <v>2391232.46472</v>
      </c>
      <c r="L24" s="7">
        <f t="shared" si="14"/>
        <v>3411173.2734950073</v>
      </c>
      <c r="M24" s="7">
        <f t="shared" si="15"/>
        <v>610600.01595560624</v>
      </c>
      <c r="O24" s="12"/>
      <c r="P24" s="12"/>
      <c r="Q24" s="12"/>
    </row>
    <row r="25" spans="2:17" x14ac:dyDescent="0.2">
      <c r="B25" s="20" t="s">
        <v>18</v>
      </c>
      <c r="C25" s="21">
        <v>707</v>
      </c>
      <c r="D25" s="7">
        <v>18811.419999999998</v>
      </c>
      <c r="E25" s="7">
        <f>1.55</f>
        <v>1.55</v>
      </c>
      <c r="F25" s="7">
        <f t="shared" si="8"/>
        <v>29157.700999999997</v>
      </c>
      <c r="G25" s="7">
        <f t="shared" si="9"/>
        <v>5831.5401999999995</v>
      </c>
      <c r="H25" s="9">
        <f t="shared" si="10"/>
        <v>34989.241199999997</v>
      </c>
      <c r="I25" s="7">
        <f t="shared" si="11"/>
        <v>4122898.9213999994</v>
      </c>
      <c r="J25" s="7">
        <f t="shared" si="12"/>
        <v>49474787.056799993</v>
      </c>
      <c r="K25" s="7">
        <f t="shared" si="13"/>
        <v>52938022.150775999</v>
      </c>
      <c r="L25" s="7">
        <f t="shared" si="14"/>
        <v>75517863.267868757</v>
      </c>
      <c r="M25" s="7">
        <f t="shared" si="15"/>
        <v>13517697.524948508</v>
      </c>
      <c r="O25" s="12"/>
      <c r="P25" s="12"/>
      <c r="Q25" s="12"/>
    </row>
    <row r="26" spans="2:17" x14ac:dyDescent="0.2">
      <c r="B26" s="20" t="s">
        <v>19</v>
      </c>
      <c r="C26" s="21">
        <v>9</v>
      </c>
      <c r="D26" s="7">
        <v>18811.419999999998</v>
      </c>
      <c r="E26" s="7">
        <f>1.4</f>
        <v>1.4</v>
      </c>
      <c r="F26" s="7">
        <f t="shared" si="8"/>
        <v>26335.987999999998</v>
      </c>
      <c r="G26" s="7">
        <f t="shared" si="9"/>
        <v>5267.1975999999995</v>
      </c>
      <c r="H26" s="9">
        <f t="shared" si="10"/>
        <v>31603.185599999997</v>
      </c>
      <c r="I26" s="7">
        <f t="shared" si="11"/>
        <v>47404.778399999996</v>
      </c>
      <c r="J26" s="7">
        <f t="shared" si="12"/>
        <v>568857.34079999989</v>
      </c>
      <c r="K26" s="7">
        <f t="shared" si="13"/>
        <v>608677.35465599992</v>
      </c>
      <c r="L26" s="7">
        <f t="shared" si="14"/>
        <v>868298.65143509267</v>
      </c>
      <c r="M26" s="7">
        <f t="shared" si="15"/>
        <v>155425.45860688158</v>
      </c>
      <c r="O26" s="12"/>
      <c r="P26" s="12"/>
      <c r="Q26" s="12"/>
    </row>
    <row r="27" spans="2:17" x14ac:dyDescent="0.2">
      <c r="B27" s="17" t="s">
        <v>13</v>
      </c>
      <c r="C27" s="22">
        <f>SUM(C23:C26)</f>
        <v>981</v>
      </c>
      <c r="D27" s="8"/>
      <c r="E27" s="23"/>
      <c r="F27" s="10"/>
      <c r="G27" s="10"/>
      <c r="H27" s="11"/>
      <c r="I27" s="9">
        <f>SUM(I23:I26)</f>
        <v>6115968.8703999994</v>
      </c>
      <c r="J27" s="9">
        <f>SUM(J23:J26)</f>
        <v>73391626.444799989</v>
      </c>
      <c r="K27" s="9">
        <f>SUM(K23:K26)</f>
        <v>78529040.295936003</v>
      </c>
      <c r="L27" s="9">
        <f>SUM(L23:L26)</f>
        <v>112024308.55340372</v>
      </c>
      <c r="M27" s="9">
        <f>SUM(M23:M26)</f>
        <v>20052351.231059264</v>
      </c>
    </row>
    <row r="28" spans="2:17" ht="15" customHeight="1" x14ac:dyDescent="0.2">
      <c r="F28" s="12"/>
      <c r="G28" s="12"/>
      <c r="H28" s="12"/>
      <c r="I28" s="13"/>
      <c r="J28" s="14"/>
      <c r="K28" s="15"/>
      <c r="L28" s="43">
        <f>+L27+M27</f>
        <v>132076659.78446299</v>
      </c>
      <c r="M28" s="44"/>
    </row>
    <row r="29" spans="2:17" ht="9.75" customHeight="1" x14ac:dyDescent="0.2">
      <c r="F29" s="12"/>
      <c r="G29" s="12"/>
      <c r="H29" s="12"/>
      <c r="I29" s="24"/>
      <c r="J29" s="25"/>
      <c r="K29" s="26"/>
      <c r="L29" s="27"/>
      <c r="M29" s="27"/>
    </row>
    <row r="30" spans="2:17" ht="14.25" customHeight="1" x14ac:dyDescent="0.2">
      <c r="B30" s="16" t="s">
        <v>38</v>
      </c>
      <c r="F30" s="12"/>
      <c r="G30" s="12"/>
      <c r="H30" s="12"/>
      <c r="I30" s="24"/>
      <c r="J30" s="25"/>
      <c r="K30" s="26"/>
      <c r="L30" s="27"/>
      <c r="M30" s="27"/>
    </row>
    <row r="31" spans="2:17" x14ac:dyDescent="0.2">
      <c r="B31" s="16" t="s">
        <v>40</v>
      </c>
    </row>
    <row r="35" spans="2:13" ht="27.75" customHeight="1" x14ac:dyDescent="0.25">
      <c r="B35" s="57" t="s">
        <v>30</v>
      </c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</row>
    <row r="36" spans="2:13" ht="11.25" customHeight="1" x14ac:dyDescent="0.2">
      <c r="F36" s="12"/>
      <c r="G36" s="12"/>
      <c r="H36" s="12"/>
      <c r="I36" s="24"/>
      <c r="J36" s="25"/>
      <c r="K36" s="26"/>
      <c r="L36" s="27"/>
      <c r="M36" s="27"/>
    </row>
    <row r="37" spans="2:13" ht="31.5" customHeight="1" x14ac:dyDescent="0.2">
      <c r="B37" s="53" t="s">
        <v>0</v>
      </c>
      <c r="C37" s="55" t="s">
        <v>8</v>
      </c>
      <c r="D37" s="41" t="s">
        <v>9</v>
      </c>
      <c r="E37" s="41" t="s">
        <v>37</v>
      </c>
      <c r="F37" s="41" t="s">
        <v>12</v>
      </c>
      <c r="G37" s="45" t="s">
        <v>15</v>
      </c>
      <c r="H37" s="41" t="s">
        <v>14</v>
      </c>
      <c r="I37" s="41" t="s">
        <v>26</v>
      </c>
      <c r="J37" s="41" t="s">
        <v>27</v>
      </c>
      <c r="K37" s="41" t="s">
        <v>39</v>
      </c>
      <c r="L37" s="33">
        <v>411000</v>
      </c>
      <c r="M37" s="33">
        <v>412000</v>
      </c>
    </row>
    <row r="38" spans="2:13" s="19" customFormat="1" ht="70.5" customHeight="1" x14ac:dyDescent="0.2">
      <c r="B38" s="54"/>
      <c r="C38" s="56"/>
      <c r="D38" s="42"/>
      <c r="E38" s="42"/>
      <c r="F38" s="42"/>
      <c r="G38" s="46"/>
      <c r="H38" s="42"/>
      <c r="I38" s="42"/>
      <c r="J38" s="42"/>
      <c r="K38" s="42"/>
      <c r="L38" s="18" t="s">
        <v>25</v>
      </c>
      <c r="M38" s="18" t="s">
        <v>24</v>
      </c>
    </row>
    <row r="39" spans="2:13" s="29" customFormat="1" ht="12.75" customHeight="1" x14ac:dyDescent="0.25">
      <c r="B39" s="3">
        <v>1</v>
      </c>
      <c r="C39" s="28">
        <v>2</v>
      </c>
      <c r="D39" s="28">
        <v>3</v>
      </c>
      <c r="E39" s="28">
        <v>4</v>
      </c>
      <c r="F39" s="28" t="s">
        <v>1</v>
      </c>
      <c r="G39" s="28" t="s">
        <v>2</v>
      </c>
      <c r="H39" s="18" t="s">
        <v>7</v>
      </c>
      <c r="I39" s="28" t="s">
        <v>3</v>
      </c>
      <c r="J39" s="28" t="s">
        <v>4</v>
      </c>
      <c r="K39" s="28" t="s">
        <v>5</v>
      </c>
      <c r="L39" s="28" t="s">
        <v>10</v>
      </c>
      <c r="M39" s="28" t="s">
        <v>11</v>
      </c>
    </row>
    <row r="40" spans="2:13" x14ac:dyDescent="0.2">
      <c r="B40" s="20" t="s">
        <v>16</v>
      </c>
      <c r="C40" s="21">
        <v>246</v>
      </c>
      <c r="D40" s="7">
        <v>18811.419999999998</v>
      </c>
      <c r="E40" s="7">
        <f>1.99</f>
        <v>1.99</v>
      </c>
      <c r="F40" s="7">
        <f t="shared" ref="F40:F42" si="16">+D40*E40</f>
        <v>37434.725799999993</v>
      </c>
      <c r="G40" s="7">
        <f t="shared" ref="G40:G42" si="17">+F40*0.2</f>
        <v>7486.9451599999993</v>
      </c>
      <c r="H40" s="9">
        <f t="shared" ref="H40:H42" si="18">+F40+G40</f>
        <v>44921.670959999989</v>
      </c>
      <c r="I40" s="7">
        <f t="shared" ref="I40:I42" si="19">+G40*C40</f>
        <v>1841788.5093599998</v>
      </c>
      <c r="J40" s="7">
        <f t="shared" ref="J40:J42" si="20">+I40*12</f>
        <v>22101462.112319998</v>
      </c>
      <c r="K40" s="7">
        <f t="shared" ref="K40:K42" si="21">+J40*1.07</f>
        <v>23648564.460182399</v>
      </c>
      <c r="L40" s="7">
        <f t="shared" ref="L40:L42" si="22">+K40/0.701</f>
        <v>33735469.985994868</v>
      </c>
      <c r="M40" s="7">
        <f t="shared" ref="M40:M42" si="23">+L40*0.179</f>
        <v>6038649.1274930807</v>
      </c>
    </row>
    <row r="41" spans="2:13" x14ac:dyDescent="0.2">
      <c r="B41" s="20" t="s">
        <v>17</v>
      </c>
      <c r="C41" s="21">
        <v>14</v>
      </c>
      <c r="D41" s="7">
        <v>18811.419999999998</v>
      </c>
      <c r="E41" s="7">
        <f>1.65</f>
        <v>1.65</v>
      </c>
      <c r="F41" s="7">
        <f t="shared" si="16"/>
        <v>31038.842999999997</v>
      </c>
      <c r="G41" s="7">
        <f t="shared" si="17"/>
        <v>6207.7685999999994</v>
      </c>
      <c r="H41" s="9">
        <f t="shared" si="18"/>
        <v>37246.611599999997</v>
      </c>
      <c r="I41" s="7">
        <f t="shared" si="19"/>
        <v>86908.760399999999</v>
      </c>
      <c r="J41" s="7">
        <f t="shared" si="20"/>
        <v>1042905.1248</v>
      </c>
      <c r="K41" s="7">
        <f t="shared" si="21"/>
        <v>1115908.4835360001</v>
      </c>
      <c r="L41" s="7">
        <f t="shared" si="22"/>
        <v>1591880.8609643369</v>
      </c>
      <c r="M41" s="7">
        <f t="shared" si="23"/>
        <v>284946.67411261628</v>
      </c>
    </row>
    <row r="42" spans="2:13" x14ac:dyDescent="0.2">
      <c r="B42" s="20" t="s">
        <v>18</v>
      </c>
      <c r="C42" s="21">
        <v>270</v>
      </c>
      <c r="D42" s="7">
        <v>18811.419999999998</v>
      </c>
      <c r="E42" s="7">
        <f>1.55</f>
        <v>1.55</v>
      </c>
      <c r="F42" s="7">
        <f t="shared" si="16"/>
        <v>29157.700999999997</v>
      </c>
      <c r="G42" s="7">
        <f t="shared" si="17"/>
        <v>5831.5401999999995</v>
      </c>
      <c r="H42" s="9">
        <f t="shared" si="18"/>
        <v>34989.241199999997</v>
      </c>
      <c r="I42" s="7">
        <f t="shared" si="19"/>
        <v>1574515.8539999998</v>
      </c>
      <c r="J42" s="7">
        <f t="shared" si="20"/>
        <v>18894190.247999996</v>
      </c>
      <c r="K42" s="7">
        <f t="shared" si="21"/>
        <v>20216783.565359998</v>
      </c>
      <c r="L42" s="7">
        <f t="shared" si="22"/>
        <v>28839919.494094152</v>
      </c>
      <c r="M42" s="7">
        <f t="shared" si="23"/>
        <v>5162345.5894428529</v>
      </c>
    </row>
    <row r="43" spans="2:13" x14ac:dyDescent="0.2">
      <c r="B43" s="17" t="s">
        <v>13</v>
      </c>
      <c r="C43" s="22">
        <f>SUM(C40:C42)</f>
        <v>530</v>
      </c>
      <c r="D43" s="8"/>
      <c r="E43" s="23"/>
      <c r="F43" s="10"/>
      <c r="G43" s="10"/>
      <c r="H43" s="11"/>
      <c r="I43" s="9">
        <f>SUM(I40:I42)</f>
        <v>3503213.1237599999</v>
      </c>
      <c r="J43" s="9">
        <f>SUM(J40:J42)</f>
        <v>42038557.485119998</v>
      </c>
      <c r="K43" s="9">
        <f>SUM(K40:K42)</f>
        <v>44981256.509078398</v>
      </c>
      <c r="L43" s="9">
        <f>SUM(L40:L42)</f>
        <v>64167270.341053352</v>
      </c>
      <c r="M43" s="9">
        <f>SUM(M40:M42)</f>
        <v>11485941.391048551</v>
      </c>
    </row>
    <row r="44" spans="2:13" ht="15" customHeight="1" x14ac:dyDescent="0.2">
      <c r="F44" s="12"/>
      <c r="G44" s="12"/>
      <c r="H44" s="12"/>
      <c r="I44" s="13"/>
      <c r="J44" s="14"/>
      <c r="K44" s="15"/>
      <c r="L44" s="43">
        <f>+L43+M43</f>
        <v>75653211.732101902</v>
      </c>
      <c r="M44" s="44"/>
    </row>
    <row r="45" spans="2:13" ht="15" customHeight="1" x14ac:dyDescent="0.2">
      <c r="F45" s="12"/>
      <c r="G45" s="12"/>
      <c r="H45" s="12"/>
      <c r="I45" s="24"/>
      <c r="J45" s="25"/>
      <c r="K45" s="26"/>
      <c r="L45" s="40"/>
      <c r="M45" s="40"/>
    </row>
    <row r="46" spans="2:13" ht="25.5" x14ac:dyDescent="0.2">
      <c r="D46" s="12"/>
      <c r="F46" s="12"/>
      <c r="G46" s="12"/>
      <c r="H46" s="12"/>
      <c r="I46" s="12"/>
      <c r="J46" s="12"/>
      <c r="K46" s="12"/>
      <c r="L46" s="35" t="s">
        <v>31</v>
      </c>
      <c r="M46" s="36" t="s">
        <v>32</v>
      </c>
    </row>
    <row r="47" spans="2:13" s="1" customFormat="1" ht="20.25" customHeight="1" x14ac:dyDescent="0.25">
      <c r="B47" s="47" t="s">
        <v>33</v>
      </c>
      <c r="C47" s="48"/>
      <c r="D47" s="48"/>
      <c r="E47" s="48"/>
      <c r="F47" s="48"/>
      <c r="G47" s="48"/>
      <c r="H47" s="48"/>
      <c r="I47" s="48"/>
      <c r="J47" s="48"/>
      <c r="K47" s="48"/>
      <c r="L47" s="30">
        <f>+M47/12</f>
        <v>1967418.9940211438</v>
      </c>
      <c r="M47" s="30">
        <f>+L17</f>
        <v>23609027.928253725</v>
      </c>
    </row>
    <row r="48" spans="2:13" s="34" customFormat="1" ht="27.75" customHeight="1" x14ac:dyDescent="0.25">
      <c r="B48" s="47" t="s">
        <v>34</v>
      </c>
      <c r="C48" s="48"/>
      <c r="D48" s="48"/>
      <c r="E48" s="48"/>
      <c r="F48" s="48"/>
      <c r="G48" s="48"/>
      <c r="H48" s="48"/>
      <c r="I48" s="48"/>
      <c r="J48" s="48"/>
      <c r="K48" s="49"/>
      <c r="L48" s="30">
        <f t="shared" ref="L48:L50" si="24">+M48/12</f>
        <v>11006388.315371916</v>
      </c>
      <c r="M48" s="30">
        <f>+L28</f>
        <v>132076659.78446299</v>
      </c>
    </row>
    <row r="49" spans="2:15" s="1" customFormat="1" ht="28.5" customHeight="1" x14ac:dyDescent="0.25">
      <c r="B49" s="47" t="s">
        <v>35</v>
      </c>
      <c r="C49" s="48"/>
      <c r="D49" s="48"/>
      <c r="E49" s="48"/>
      <c r="F49" s="48"/>
      <c r="G49" s="48"/>
      <c r="H49" s="48"/>
      <c r="I49" s="48"/>
      <c r="J49" s="48"/>
      <c r="K49" s="49"/>
      <c r="L49" s="30">
        <f t="shared" si="24"/>
        <v>6304434.3110084916</v>
      </c>
      <c r="M49" s="30">
        <f>+L44</f>
        <v>75653211.732101902</v>
      </c>
      <c r="O49" s="2"/>
    </row>
    <row r="50" spans="2:15" s="1" customFormat="1" ht="20.25" customHeight="1" x14ac:dyDescent="0.25">
      <c r="B50" s="50" t="s">
        <v>6</v>
      </c>
      <c r="C50" s="51"/>
      <c r="D50" s="51"/>
      <c r="E50" s="51"/>
      <c r="F50" s="51"/>
      <c r="G50" s="51"/>
      <c r="H50" s="51"/>
      <c r="I50" s="51"/>
      <c r="J50" s="51"/>
      <c r="K50" s="52"/>
      <c r="L50" s="37">
        <f t="shared" si="24"/>
        <v>19278241.62040155</v>
      </c>
      <c r="M50" s="38">
        <f>SUM(M47:M49)</f>
        <v>231338899.44481862</v>
      </c>
    </row>
    <row r="52" spans="2:15" ht="21.75" customHeight="1" x14ac:dyDescent="0.2">
      <c r="B52" s="16" t="s">
        <v>38</v>
      </c>
      <c r="F52" s="12"/>
      <c r="G52" s="12"/>
      <c r="H52" s="12"/>
      <c r="I52" s="24"/>
      <c r="J52" s="25"/>
      <c r="K52" s="26"/>
      <c r="L52" s="27"/>
      <c r="M52" s="27"/>
    </row>
    <row r="53" spans="2:15" x14ac:dyDescent="0.2">
      <c r="B53" s="16" t="s">
        <v>40</v>
      </c>
    </row>
  </sheetData>
  <mergeCells count="41">
    <mergeCell ref="L44:M44"/>
    <mergeCell ref="B2:M2"/>
    <mergeCell ref="B20:B21"/>
    <mergeCell ref="C20:C21"/>
    <mergeCell ref="D20:D21"/>
    <mergeCell ref="E20:E21"/>
    <mergeCell ref="F20:F21"/>
    <mergeCell ref="G20:G21"/>
    <mergeCell ref="H20:H21"/>
    <mergeCell ref="I20:I21"/>
    <mergeCell ref="J20:J21"/>
    <mergeCell ref="B18:M18"/>
    <mergeCell ref="B4:M4"/>
    <mergeCell ref="B6:B7"/>
    <mergeCell ref="C6:C7"/>
    <mergeCell ref="D6:D7"/>
    <mergeCell ref="B47:K47"/>
    <mergeCell ref="B48:K48"/>
    <mergeCell ref="B49:K49"/>
    <mergeCell ref="B50:K50"/>
    <mergeCell ref="K20:K21"/>
    <mergeCell ref="B37:B38"/>
    <mergeCell ref="C37:C38"/>
    <mergeCell ref="D37:D38"/>
    <mergeCell ref="E37:E38"/>
    <mergeCell ref="F37:F38"/>
    <mergeCell ref="G37:G38"/>
    <mergeCell ref="H37:H38"/>
    <mergeCell ref="I37:I38"/>
    <mergeCell ref="J37:J38"/>
    <mergeCell ref="K37:K38"/>
    <mergeCell ref="B35:M35"/>
    <mergeCell ref="J6:J7"/>
    <mergeCell ref="K6:K7"/>
    <mergeCell ref="L17:M17"/>
    <mergeCell ref="L28:M28"/>
    <mergeCell ref="E6:E7"/>
    <mergeCell ref="F6:F7"/>
    <mergeCell ref="G6:G7"/>
    <mergeCell ref="H6:H7"/>
    <mergeCell ref="I6:I7"/>
  </mergeCells>
  <pageMargins left="0" right="0" top="0.35" bottom="0" header="0.3" footer="0.3"/>
  <pageSetup paperSize="9" scale="90" orientation="landscape" r:id="rId1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 20% </vt:lpstr>
    </vt:vector>
  </TitlesOfParts>
  <Company>uc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vilimonovicb</dc:creator>
  <cp:lastModifiedBy>Andjelka Opacic</cp:lastModifiedBy>
  <cp:lastPrinted>2018-11-21T07:20:19Z</cp:lastPrinted>
  <dcterms:created xsi:type="dcterms:W3CDTF">2017-10-16T14:21:46Z</dcterms:created>
  <dcterms:modified xsi:type="dcterms:W3CDTF">2018-11-21T08:17:04Z</dcterms:modified>
</cp:coreProperties>
</file>